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oyr\Documents\"/>
    </mc:Choice>
  </mc:AlternateContent>
  <xr:revisionPtr revIDLastSave="0" documentId="13_ncr:1_{9E09EEC6-7A60-4266-AF0B-4AF76B882C40}" xr6:coauthVersionLast="47" xr6:coauthVersionMax="47" xr10:uidLastSave="{00000000-0000-0000-0000-000000000000}"/>
  <bookViews>
    <workbookView xWindow="-120" yWindow="-120" windowWidth="29040" windowHeight="15720" xr2:uid="{2768A513-A142-49AC-82E2-85939B322171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25" i="1" l="1"/>
  <c r="E25" i="1"/>
  <c r="F25" i="1"/>
  <c r="G25" i="1"/>
  <c r="D25" i="1"/>
  <c r="C25" i="1"/>
  <c r="D16" i="1"/>
  <c r="H15" i="1"/>
  <c r="G19" i="1"/>
  <c r="G14" i="1"/>
  <c r="G15" i="1"/>
  <c r="G7" i="1"/>
  <c r="G22" i="1"/>
  <c r="F20" i="1"/>
  <c r="F15" i="1"/>
  <c r="F14" i="1"/>
  <c r="E21" i="1"/>
  <c r="E15" i="1"/>
  <c r="E14" i="1"/>
  <c r="E8" i="1"/>
  <c r="F8" i="1"/>
  <c r="G8" i="1"/>
  <c r="H8" i="1"/>
  <c r="E20" i="1"/>
  <c r="H20" i="1"/>
  <c r="D8" i="1"/>
  <c r="D20" i="1"/>
  <c r="C20" i="1"/>
  <c r="C8" i="1"/>
  <c r="C22" i="1"/>
  <c r="C14" i="1"/>
  <c r="G16" i="1" l="1"/>
  <c r="F16" i="1"/>
  <c r="H16" i="1"/>
  <c r="C16" i="1"/>
  <c r="H30" i="1"/>
  <c r="E16" i="1"/>
  <c r="G20" i="1"/>
  <c r="F23" i="1"/>
  <c r="E23" i="1"/>
  <c r="D30" i="1"/>
  <c r="D23" i="1"/>
  <c r="H23" i="1"/>
  <c r="E30" i="1"/>
  <c r="D29" i="1"/>
  <c r="D27" i="1" l="1"/>
  <c r="F28" i="1"/>
  <c r="G23" i="1"/>
  <c r="H29" i="1"/>
  <c r="H27" i="1"/>
  <c r="H26" i="1"/>
  <c r="H28" i="1"/>
  <c r="F27" i="1"/>
  <c r="G30" i="1"/>
  <c r="G29" i="1"/>
  <c r="F26" i="1"/>
  <c r="F29" i="1"/>
  <c r="E29" i="1"/>
  <c r="E26" i="1"/>
  <c r="E27" i="1"/>
  <c r="E28" i="1"/>
  <c r="D26" i="1"/>
  <c r="D28" i="1"/>
  <c r="C23" i="1"/>
  <c r="C29" i="1"/>
  <c r="C30" i="1"/>
  <c r="F37" i="1" l="1"/>
  <c r="I37" i="1" s="1"/>
  <c r="L37" i="1" s="1"/>
  <c r="G27" i="1"/>
  <c r="G28" i="1"/>
  <c r="G26" i="1"/>
  <c r="E37" i="1"/>
  <c r="G37" i="1" s="1"/>
  <c r="J37" i="1" s="1"/>
  <c r="M37" i="1" s="1"/>
  <c r="Q37" i="1" s="1"/>
  <c r="F36" i="1"/>
  <c r="I36" i="1" s="1"/>
  <c r="L36" i="1" s="1"/>
  <c r="C36" i="1"/>
  <c r="D36" i="1"/>
  <c r="H36" i="1" s="1"/>
  <c r="K36" i="1" s="1"/>
  <c r="E36" i="1"/>
  <c r="G36" i="1" s="1"/>
  <c r="J36" i="1" s="1"/>
  <c r="C37" i="1"/>
  <c r="D37" i="1"/>
  <c r="H37" i="1" s="1"/>
  <c r="K37" i="1" s="1"/>
  <c r="C26" i="1"/>
  <c r="C28" i="1"/>
  <c r="C27" i="1"/>
  <c r="F33" i="1" l="1"/>
  <c r="I33" i="1" s="1"/>
  <c r="L33" i="1" s="1"/>
  <c r="E34" i="1"/>
  <c r="G34" i="1" s="1"/>
  <c r="J34" i="1" s="1"/>
  <c r="D33" i="1"/>
  <c r="H33" i="1" s="1"/>
  <c r="K33" i="1" s="1"/>
  <c r="C33" i="1"/>
  <c r="E33" i="1"/>
  <c r="G33" i="1" s="1"/>
  <c r="J33" i="1" s="1"/>
  <c r="F34" i="1"/>
  <c r="I34" i="1" s="1"/>
  <c r="L34" i="1" s="1"/>
  <c r="E35" i="1"/>
  <c r="G35" i="1" s="1"/>
  <c r="J35" i="1" s="1"/>
  <c r="F35" i="1"/>
  <c r="I35" i="1" s="1"/>
  <c r="L35" i="1" s="1"/>
  <c r="C35" i="1"/>
  <c r="D34" i="1"/>
  <c r="H34" i="1" s="1"/>
  <c r="K34" i="1" s="1"/>
  <c r="C34" i="1"/>
  <c r="D35" i="1"/>
  <c r="H35" i="1" s="1"/>
  <c r="K35" i="1" s="1"/>
  <c r="M36" i="1"/>
  <c r="Q36" i="1" s="1"/>
  <c r="M33" i="1" l="1"/>
  <c r="Q33" i="1" s="1"/>
  <c r="M34" i="1"/>
  <c r="Q34" i="1" s="1"/>
  <c r="M35" i="1"/>
  <c r="Q3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Troy R. Shen</author>
  </authors>
  <commentList>
    <comment ref="H4" authorId="0" shapeId="0" xr:uid="{F9297958-D2EE-4489-89D8-4B24461A42C0}">
      <text>
        <r>
          <rPr>
            <b/>
            <sz val="9"/>
            <color indexed="81"/>
            <rFont val="Tahoma"/>
            <family val="2"/>
          </rPr>
          <t>Troy R. Shen:</t>
        </r>
        <r>
          <rPr>
            <sz val="9"/>
            <color indexed="81"/>
            <rFont val="Tahoma"/>
            <family val="2"/>
          </rPr>
          <t xml:space="preserve">
excluded as not meaningful comp due to scale and growth profile differences</t>
        </r>
      </text>
    </comment>
    <comment ref="C7" authorId="0" shapeId="0" xr:uid="{22EB2D73-57B2-4C71-BBA3-DA16231EEAFB}">
      <text>
        <r>
          <rPr>
            <b/>
            <sz val="9"/>
            <color indexed="81"/>
            <rFont val="Tahoma"/>
            <family val="2"/>
          </rPr>
          <t>Troy R. Shen:</t>
        </r>
        <r>
          <rPr>
            <sz val="9"/>
            <color indexed="81"/>
            <rFont val="Tahoma"/>
            <family val="2"/>
          </rPr>
          <t xml:space="preserve">
Platform Operations reclassified as CoR for comparability</t>
        </r>
      </text>
    </comment>
    <comment ref="C14" authorId="0" shapeId="0" xr:uid="{A7E21213-67FE-40EA-9B47-D7D2898CCBA0}">
      <text>
        <r>
          <rPr>
            <b/>
            <sz val="9"/>
            <color indexed="81"/>
            <rFont val="Tahoma"/>
            <family val="2"/>
          </rPr>
          <t>Troy R. Shen:</t>
        </r>
        <r>
          <rPr>
            <sz val="9"/>
            <color indexed="81"/>
            <rFont val="Tahoma"/>
            <charset val="1"/>
          </rPr>
          <t xml:space="preserve">
Purchases of property and equipment + Capitalized software development costs </t>
        </r>
      </text>
    </comment>
    <comment ref="E14" authorId="0" shapeId="0" xr:uid="{342402B7-FAFD-43BE-B6DA-4E158E7CA117}">
      <text>
        <r>
          <rPr>
            <b/>
            <sz val="9"/>
            <color indexed="81"/>
            <rFont val="Tahoma"/>
            <family val="2"/>
          </rPr>
          <t>Troy R. Shen:</t>
        </r>
        <r>
          <rPr>
            <sz val="9"/>
            <color indexed="81"/>
            <rFont val="Tahoma"/>
            <family val="2"/>
          </rPr>
          <t xml:space="preserve">
Purchases of property and equipment + Capitalized internal use software</t>
        </r>
      </text>
    </comment>
    <comment ref="F14" authorId="0" shapeId="0" xr:uid="{67B88324-8920-4175-BED7-4C1432ACF6A0}">
      <text>
        <r>
          <rPr>
            <b/>
            <sz val="9"/>
            <color indexed="81"/>
            <rFont val="Tahoma"/>
            <charset val="1"/>
          </rPr>
          <t>Troy R. Shen:</t>
        </r>
        <r>
          <rPr>
            <sz val="9"/>
            <color indexed="81"/>
            <rFont val="Tahoma"/>
            <charset val="1"/>
          </rPr>
          <t xml:space="preserve">
Purchases of and deposits on property and equipment + Capitalized software development costs </t>
        </r>
      </text>
    </comment>
    <comment ref="A18" authorId="0" shapeId="0" xr:uid="{BABE76D9-27EE-4757-BD65-6814A602F321}">
      <text>
        <r>
          <rPr>
            <b/>
            <sz val="9"/>
            <color indexed="81"/>
            <rFont val="Tahoma"/>
            <family val="2"/>
          </rPr>
          <t>Troy R. Shen:</t>
        </r>
        <r>
          <rPr>
            <sz val="9"/>
            <color indexed="81"/>
            <rFont val="Tahoma"/>
            <family val="2"/>
          </rPr>
          <t xml:space="preserve">
Yahoo Finance, 5/16/26</t>
        </r>
      </text>
    </comment>
    <comment ref="C22" authorId="0" shapeId="0" xr:uid="{395404D9-4591-4AAA-BE2A-E0874CF81647}">
      <text>
        <r>
          <rPr>
            <b/>
            <sz val="9"/>
            <color indexed="81"/>
            <rFont val="Tahoma"/>
            <family val="2"/>
          </rPr>
          <t>Troy R. Shen:</t>
        </r>
        <r>
          <rPr>
            <sz val="9"/>
            <color indexed="81"/>
            <rFont val="Tahoma"/>
            <family val="2"/>
          </rPr>
          <t xml:space="preserve">
Cash and cash equivalents + Short-term investments, net</t>
        </r>
      </text>
    </comment>
    <comment ref="H26" authorId="0" shapeId="0" xr:uid="{5BE9FA2E-B8B3-4B53-A551-DE3119B13F32}">
      <text>
        <r>
          <rPr>
            <b/>
            <sz val="9"/>
            <color indexed="81"/>
            <rFont val="Tahoma"/>
            <family val="2"/>
          </rPr>
          <t>Troy R. Shen:</t>
        </r>
        <r>
          <rPr>
            <sz val="9"/>
            <color indexed="81"/>
            <rFont val="Tahoma"/>
            <family val="2"/>
          </rPr>
          <t xml:space="preserve">
N/M (see AppLovin comment)</t>
        </r>
      </text>
    </comment>
    <comment ref="H27" authorId="0" shapeId="0" xr:uid="{A516694C-511A-432E-9794-390AD4CA21D6}">
      <text>
        <r>
          <rPr>
            <b/>
            <sz val="9"/>
            <color indexed="81"/>
            <rFont val="Tahoma"/>
            <family val="2"/>
          </rPr>
          <t>Troy R. Shen:</t>
        </r>
        <r>
          <rPr>
            <sz val="9"/>
            <color indexed="81"/>
            <rFont val="Tahoma"/>
            <family val="2"/>
          </rPr>
          <t xml:space="preserve">
N/M (see AppLovin comment)</t>
        </r>
      </text>
    </comment>
    <comment ref="H28" authorId="0" shapeId="0" xr:uid="{6AAFB156-EA49-45C6-81F0-D7EF866EF492}">
      <text>
        <r>
          <rPr>
            <b/>
            <sz val="9"/>
            <color indexed="81"/>
            <rFont val="Tahoma"/>
            <family val="2"/>
          </rPr>
          <t>Troy R. Shen:</t>
        </r>
        <r>
          <rPr>
            <sz val="9"/>
            <color indexed="81"/>
            <rFont val="Tahoma"/>
            <family val="2"/>
          </rPr>
          <t xml:space="preserve">
N/M (see AppLovin comment)</t>
        </r>
      </text>
    </comment>
    <comment ref="H29" authorId="0" shapeId="0" xr:uid="{46C20EB6-7723-439E-ABBF-7BA02D6AFB48}">
      <text>
        <r>
          <rPr>
            <b/>
            <sz val="9"/>
            <color indexed="81"/>
            <rFont val="Tahoma"/>
            <family val="2"/>
          </rPr>
          <t>Troy R. Shen:</t>
        </r>
        <r>
          <rPr>
            <sz val="9"/>
            <color indexed="81"/>
            <rFont val="Tahoma"/>
            <family val="2"/>
          </rPr>
          <t xml:space="preserve">
N/M (see AppLovin comment)</t>
        </r>
      </text>
    </comment>
    <comment ref="H30" authorId="0" shapeId="0" xr:uid="{BCF45D07-B1FD-4D55-9222-C2C36E26E8E6}">
      <text>
        <r>
          <rPr>
            <b/>
            <sz val="9"/>
            <color indexed="81"/>
            <rFont val="Tahoma"/>
            <family val="2"/>
          </rPr>
          <t>Troy R. Shen:</t>
        </r>
        <r>
          <rPr>
            <sz val="9"/>
            <color indexed="81"/>
            <rFont val="Tahoma"/>
            <family val="2"/>
          </rPr>
          <t xml:space="preserve">
N/M (see AppLovin comment)</t>
        </r>
      </text>
    </comment>
  </commentList>
</comments>
</file>

<file path=xl/sharedStrings.xml><?xml version="1.0" encoding="utf-8"?>
<sst xmlns="http://schemas.openxmlformats.org/spreadsheetml/2006/main" count="62" uniqueCount="55">
  <si>
    <t>The Trade Desk</t>
  </si>
  <si>
    <t>Nasdaq: TTD</t>
  </si>
  <si>
    <t>D&amp;A</t>
  </si>
  <si>
    <t>Adjusted EBITDA</t>
  </si>
  <si>
    <t>Net Income</t>
  </si>
  <si>
    <t>SBC</t>
  </si>
  <si>
    <t>Share Price</t>
  </si>
  <si>
    <t>Equity Value</t>
  </si>
  <si>
    <t>Debt</t>
  </si>
  <si>
    <t>Cash</t>
  </si>
  <si>
    <t>Enterprise Value</t>
  </si>
  <si>
    <t>CapEx</t>
  </si>
  <si>
    <t>ΔNWC</t>
  </si>
  <si>
    <t>Levered FCF</t>
  </si>
  <si>
    <t>EV/Revenue</t>
  </si>
  <si>
    <t>EV/Gross Profit</t>
  </si>
  <si>
    <t>P/Levered FCF</t>
  </si>
  <si>
    <t>P/E</t>
  </si>
  <si>
    <t>Multiples</t>
  </si>
  <si>
    <t>($ in Thousands, Except Per Share Amounts in Dollars)</t>
  </si>
  <si>
    <t>Last Fiscal Year</t>
  </si>
  <si>
    <t>Notes</t>
  </si>
  <si>
    <t>Revenue</t>
  </si>
  <si>
    <t>Gross Profit</t>
  </si>
  <si>
    <t>DoubleVerify</t>
  </si>
  <si>
    <t>Magnite</t>
  </si>
  <si>
    <t>PubMatic</t>
  </si>
  <si>
    <t>AppLovin</t>
  </si>
  <si>
    <t>Ticker</t>
  </si>
  <si>
    <t>NYSE: DV</t>
  </si>
  <si>
    <t>Nasdaq: MGNI</t>
  </si>
  <si>
    <t>Nasdaq: PUBM</t>
  </si>
  <si>
    <t>Nasdaq: CRTO</t>
  </si>
  <si>
    <t>Nasdaq: APP</t>
  </si>
  <si>
    <t>EV/Adjusted EBITDA</t>
  </si>
  <si>
    <t>Diluted Shares (Thousands)</t>
  </si>
  <si>
    <t>inputted</t>
  </si>
  <si>
    <t>Criteo S.A.</t>
  </si>
  <si>
    <t>Cost of Revenue</t>
  </si>
  <si>
    <t>Mean</t>
  </si>
  <si>
    <t>Median</t>
  </si>
  <si>
    <t>25th Percentile</t>
  </si>
  <si>
    <t>75th Percentile</t>
  </si>
  <si>
    <t>Implied Equity Value (25th)</t>
  </si>
  <si>
    <t>Implied Equity Value (50th)</t>
  </si>
  <si>
    <t>Implied Equity Value (75th)</t>
  </si>
  <si>
    <t>Implied Share Price (25th)</t>
  </si>
  <si>
    <t>Implied Share Price (50th)</t>
  </si>
  <si>
    <t>Implied Share Price (75th)</t>
  </si>
  <si>
    <t>Methodology</t>
  </si>
  <si>
    <t>Implied Price Range</t>
  </si>
  <si>
    <t>N/M</t>
  </si>
  <si>
    <t>Diff</t>
  </si>
  <si>
    <t>Current: $21.15</t>
  </si>
  <si>
    <t>Feedback? Feel free to email me at troy@iwilldoyourdcf.com!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</si>
</sst>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&quot;$&quot;* #,##0_);_(&quot;$&quot;* \(#,##0\);_(&quot;$&quot;* &quot;-&quot;??_);_(@_)"/>
    <numFmt numFmtId="167" formatCode="_(* #,##0_);_(* \(#,##0\);_(* &quot;-&quot;??_);_(@_)"/>
    <numFmt numFmtId="180" formatCode="0.000\x"/>
  </numFmts>
  <fonts count="11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sz val="11"/>
      <color theme="0"/>
      <name val="Times New Roman"/>
      <family val="2"/>
    </font>
    <font>
      <sz val="10"/>
      <name val="Arial"/>
      <family val="2"/>
    </font>
    <font>
      <b/>
      <sz val="11"/>
      <color theme="0"/>
      <name val="Times New Roman"/>
      <family val="1"/>
    </font>
    <font>
      <b/>
      <sz val="11"/>
      <color theme="1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69">
    <xf numFmtId="0" fontId="0" fillId="0" borderId="0" xfId="0"/>
    <xf numFmtId="0" fontId="0" fillId="0" borderId="0" xfId="0"/>
    <xf numFmtId="0" fontId="0" fillId="0" borderId="5" xfId="0" applyBorder="1"/>
    <xf numFmtId="165" fontId="0" fillId="0" borderId="5" xfId="2" applyNumberFormat="1" applyFont="1" applyBorder="1"/>
    <xf numFmtId="44" fontId="0" fillId="0" borderId="7" xfId="2" applyFont="1" applyBorder="1"/>
    <xf numFmtId="165" fontId="0" fillId="0" borderId="0" xfId="2" applyNumberFormat="1" applyFont="1" applyBorder="1"/>
    <xf numFmtId="0" fontId="5" fillId="0" borderId="0" xfId="0" applyFont="1"/>
    <xf numFmtId="14" fontId="5" fillId="0" borderId="0" xfId="0" applyNumberFormat="1" applyFont="1"/>
    <xf numFmtId="0" fontId="0" fillId="3" borderId="1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8" xfId="0" applyFill="1" applyBorder="1"/>
    <xf numFmtId="0" fontId="0" fillId="0" borderId="0" xfId="0" applyAlignment="1">
      <alignment wrapText="1"/>
    </xf>
    <xf numFmtId="0" fontId="0" fillId="0" borderId="0" xfId="0" applyAlignment="1"/>
    <xf numFmtId="0" fontId="0" fillId="4" borderId="0" xfId="0" applyFill="1" applyAlignment="1"/>
    <xf numFmtId="0" fontId="2" fillId="0" borderId="0" xfId="0" applyFont="1" applyAlignment="1">
      <alignment wrapText="1"/>
    </xf>
    <xf numFmtId="44" fontId="2" fillId="0" borderId="0" xfId="0" applyNumberFormat="1" applyFont="1"/>
    <xf numFmtId="0" fontId="0" fillId="4" borderId="4" xfId="0" applyFill="1" applyBorder="1"/>
    <xf numFmtId="165" fontId="0" fillId="4" borderId="0" xfId="2" applyNumberFormat="1" applyFont="1" applyFill="1" applyBorder="1"/>
    <xf numFmtId="165" fontId="0" fillId="4" borderId="5" xfId="2" applyNumberFormat="1" applyFont="1" applyFill="1" applyBorder="1"/>
    <xf numFmtId="0" fontId="0" fillId="0" borderId="0" xfId="0" applyBorder="1"/>
    <xf numFmtId="167" fontId="0" fillId="4" borderId="0" xfId="1" applyNumberFormat="1" applyFont="1" applyFill="1" applyBorder="1"/>
    <xf numFmtId="3" fontId="0" fillId="4" borderId="0" xfId="0" applyNumberFormat="1" applyFill="1" applyBorder="1"/>
    <xf numFmtId="3" fontId="0" fillId="4" borderId="5" xfId="0" applyNumberFormat="1" applyFill="1" applyBorder="1"/>
    <xf numFmtId="165" fontId="0" fillId="0" borderId="7" xfId="2" applyNumberFormat="1" applyFont="1" applyBorder="1"/>
    <xf numFmtId="165" fontId="0" fillId="0" borderId="8" xfId="2" applyNumberFormat="1" applyFont="1" applyBorder="1"/>
    <xf numFmtId="180" fontId="0" fillId="0" borderId="0" xfId="2" applyNumberFormat="1" applyFont="1" applyBorder="1"/>
    <xf numFmtId="180" fontId="0" fillId="0" borderId="0" xfId="0" applyNumberFormat="1" applyBorder="1"/>
    <xf numFmtId="180" fontId="0" fillId="0" borderId="7" xfId="2" applyNumberFormat="1" applyFont="1" applyBorder="1"/>
    <xf numFmtId="180" fontId="0" fillId="0" borderId="7" xfId="2" applyNumberFormat="1" applyFont="1" applyBorder="1" applyAlignment="1">
      <alignment horizontal="right"/>
    </xf>
    <xf numFmtId="180" fontId="0" fillId="0" borderId="7" xfId="0" applyNumberFormat="1" applyBorder="1"/>
    <xf numFmtId="165" fontId="0" fillId="0" borderId="0" xfId="0" applyNumberFormat="1" applyBorder="1"/>
    <xf numFmtId="44" fontId="0" fillId="0" borderId="0" xfId="2" applyFont="1" applyBorder="1"/>
    <xf numFmtId="44" fontId="0" fillId="0" borderId="5" xfId="0" applyNumberFormat="1" applyBorder="1" applyAlignment="1"/>
    <xf numFmtId="165" fontId="0" fillId="0" borderId="7" xfId="0" applyNumberFormat="1" applyBorder="1"/>
    <xf numFmtId="44" fontId="0" fillId="0" borderId="8" xfId="0" applyNumberFormat="1" applyBorder="1" applyAlignment="1"/>
    <xf numFmtId="180" fontId="0" fillId="0" borderId="5" xfId="2" applyNumberFormat="1" applyFont="1" applyBorder="1"/>
    <xf numFmtId="180" fontId="0" fillId="0" borderId="8" xfId="2" applyNumberFormat="1" applyFont="1" applyBorder="1"/>
    <xf numFmtId="0" fontId="0" fillId="4" borderId="5" xfId="0" applyFill="1" applyBorder="1"/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4" fillId="2" borderId="6" xfId="0" applyFont="1" applyFill="1" applyBorder="1" applyAlignment="1"/>
    <xf numFmtId="0" fontId="4" fillId="2" borderId="8" xfId="0" applyFont="1" applyFill="1" applyBorder="1" applyAlignment="1"/>
    <xf numFmtId="0" fontId="4" fillId="2" borderId="7" xfId="0" applyFont="1" applyFill="1" applyBorder="1" applyAlignment="1"/>
    <xf numFmtId="0" fontId="4" fillId="2" borderId="9" xfId="0" applyFont="1" applyFill="1" applyBorder="1" applyAlignment="1">
      <alignment wrapText="1"/>
    </xf>
    <xf numFmtId="0" fontId="4" fillId="2" borderId="11" xfId="0" applyFont="1" applyFill="1" applyBorder="1" applyAlignment="1">
      <alignment wrapText="1"/>
    </xf>
    <xf numFmtId="0" fontId="4" fillId="2" borderId="10" xfId="0" applyFont="1" applyFill="1" applyBorder="1" applyAlignment="1">
      <alignment wrapText="1"/>
    </xf>
    <xf numFmtId="0" fontId="0" fillId="3" borderId="5" xfId="0" applyFill="1" applyBorder="1" applyAlignment="1"/>
    <xf numFmtId="0" fontId="0" fillId="3" borderId="11" xfId="0" applyFill="1" applyBorder="1" applyAlignment="1">
      <alignment wrapText="1"/>
    </xf>
    <xf numFmtId="180" fontId="0" fillId="0" borderId="2" xfId="2" applyNumberFormat="1" applyFont="1" applyBorder="1"/>
    <xf numFmtId="180" fontId="0" fillId="0" borderId="3" xfId="2" applyNumberFormat="1" applyFont="1" applyBorder="1"/>
    <xf numFmtId="0" fontId="0" fillId="4" borderId="1" xfId="0" applyFill="1" applyBorder="1"/>
    <xf numFmtId="0" fontId="0" fillId="4" borderId="3" xfId="0" applyFill="1" applyBorder="1"/>
    <xf numFmtId="44" fontId="0" fillId="4" borderId="2" xfId="2" applyNumberFormat="1" applyFont="1" applyFill="1" applyBorder="1"/>
    <xf numFmtId="44" fontId="0" fillId="4" borderId="2" xfId="2" applyFont="1" applyFill="1" applyBorder="1"/>
    <xf numFmtId="44" fontId="0" fillId="4" borderId="3" xfId="2" applyFont="1" applyFill="1" applyBorder="1"/>
    <xf numFmtId="165" fontId="0" fillId="4" borderId="2" xfId="2" applyNumberFormat="1" applyFont="1" applyFill="1" applyBorder="1"/>
    <xf numFmtId="165" fontId="0" fillId="4" borderId="3" xfId="2" applyNumberFormat="1" applyFont="1" applyFill="1" applyBorder="1"/>
    <xf numFmtId="0" fontId="0" fillId="4" borderId="6" xfId="0" applyFill="1" applyBorder="1"/>
    <xf numFmtId="0" fontId="0" fillId="4" borderId="8" xfId="0" applyFill="1" applyBorder="1"/>
    <xf numFmtId="165" fontId="0" fillId="4" borderId="7" xfId="2" applyNumberFormat="1" applyFont="1" applyFill="1" applyBorder="1"/>
    <xf numFmtId="165" fontId="0" fillId="4" borderId="8" xfId="2" applyNumberFormat="1" applyFont="1" applyFill="1" applyBorder="1"/>
    <xf numFmtId="0" fontId="0" fillId="5" borderId="4" xfId="0" applyFill="1" applyBorder="1"/>
    <xf numFmtId="0" fontId="0" fillId="5" borderId="5" xfId="0" applyFill="1" applyBorder="1"/>
    <xf numFmtId="0" fontId="0" fillId="3" borderId="10" xfId="0" applyFill="1" applyBorder="1" applyAlignment="1">
      <alignment wrapText="1"/>
    </xf>
    <xf numFmtId="165" fontId="10" fillId="3" borderId="9" xfId="2" applyNumberFormat="1" applyFont="1" applyFill="1" applyBorder="1" applyAlignment="1">
      <alignment wrapText="1"/>
    </xf>
  </cellXfs>
  <cellStyles count="4">
    <cellStyle name="Comma" xfId="1" builtinId="3"/>
    <cellStyle name="Currency" xfId="2" builtinId="4"/>
    <cellStyle name="Normal" xfId="0" builtinId="0"/>
    <cellStyle name="Normal 2" xfId="3" xr:uid="{A0593147-E455-4A3E-959C-8F7B29AD5A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b="1"/>
              <a:t>TTD Implied Share Price</a:t>
            </a:r>
            <a:r>
              <a:rPr lang="en-US" b="1" baseline="0"/>
              <a:t> From</a:t>
            </a:r>
            <a:r>
              <a:rPr lang="en-US" b="1"/>
              <a:t> Trading Comps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Sheet1!$J$32</c:f>
              <c:strCache>
                <c:ptCount val="1"/>
                <c:pt idx="0">
                  <c:v>Implied Share Price (25th)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Sheet1!$A$33:$A$37</c:f>
              <c:strCache>
                <c:ptCount val="5"/>
                <c:pt idx="0">
                  <c:v>EV/Revenue</c:v>
                </c:pt>
                <c:pt idx="1">
                  <c:v>EV/Gross Profit</c:v>
                </c:pt>
                <c:pt idx="2">
                  <c:v>EV/Adjusted EBITDA</c:v>
                </c:pt>
                <c:pt idx="3">
                  <c:v>P/Levered FCF</c:v>
                </c:pt>
                <c:pt idx="4">
                  <c:v>P/E</c:v>
                </c:pt>
              </c:strCache>
            </c:strRef>
          </c:cat>
          <c:val>
            <c:numRef>
              <c:f>Sheet1!$J$33:$J$37</c:f>
              <c:numCache>
                <c:formatCode>_("$"* #,##0.00_);_("$"* \(#,##0.00\);_("$"* "-"??_);_(@_)</c:formatCode>
                <c:ptCount val="5"/>
                <c:pt idx="0">
                  <c:v>7.8811018480603678</c:v>
                </c:pt>
                <c:pt idx="1">
                  <c:v>9.2102842982551003</c:v>
                </c:pt>
                <c:pt idx="2">
                  <c:v>12.609059601296497</c:v>
                </c:pt>
                <c:pt idx="3">
                  <c:v>8.2592348288962949</c:v>
                </c:pt>
                <c:pt idx="4">
                  <c:v>8.7675367423958637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78-4A60-8391-A5FC4E5A4CFA}"/>
            </c:ext>
          </c:extLst>
        </c:ser>
        <c:ser>
          <c:idx val="1"/>
          <c:order val="1"/>
          <c:tx>
            <c:strRef>
              <c:f>Sheet1!$M$32</c:f>
              <c:strCache>
                <c:ptCount val="1"/>
                <c:pt idx="0">
                  <c:v>Implied Price Range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Sheet1!$A$33:$A$37</c:f>
              <c:strCache>
                <c:ptCount val="5"/>
                <c:pt idx="0">
                  <c:v>EV/Revenue</c:v>
                </c:pt>
                <c:pt idx="1">
                  <c:v>EV/Gross Profit</c:v>
                </c:pt>
                <c:pt idx="2">
                  <c:v>EV/Adjusted EBITDA</c:v>
                </c:pt>
                <c:pt idx="3">
                  <c:v>P/Levered FCF</c:v>
                </c:pt>
                <c:pt idx="4">
                  <c:v>P/E</c:v>
                </c:pt>
              </c:strCache>
            </c:strRef>
          </c:cat>
          <c:val>
            <c:numRef>
              <c:f>Sheet1!$M$33:$M$37</c:f>
              <c:numCache>
                <c:formatCode>_("$"* #,##0.00_);_("$"* \(#,##0.00\);_("$"* "-"??_);_(@_)</c:formatCode>
                <c:ptCount val="5"/>
                <c:pt idx="0">
                  <c:v>6.174102724486497</c:v>
                </c:pt>
                <c:pt idx="1">
                  <c:v>5.5622874122538892</c:v>
                </c:pt>
                <c:pt idx="2">
                  <c:v>4.445889228462665</c:v>
                </c:pt>
                <c:pt idx="3">
                  <c:v>2.2588102349852051</c:v>
                </c:pt>
                <c:pt idx="4">
                  <c:v>10.744415653116993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78-4A60-8391-A5FC4E5A4CFA}"/>
            </c:ext>
          </c:extLst>
        </c:ser>
        <c:ser>
          <c:idx val="2"/>
          <c:order val="2"/>
          <c:tx>
            <c:strRef>
              <c:f>Sheet1!$Q$32</c:f>
              <c:strCache>
                <c:ptCount val="1"/>
                <c:pt idx="0">
                  <c:v>Diff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Sheet1!$Q$33:$Q$37</c:f>
              <c:numCache>
                <c:formatCode>_("$"* #,##0.00_);_("$"* \(#,##0.00\);_("$"* "-"??_);_(@_)</c:formatCode>
                <c:ptCount val="5"/>
                <c:pt idx="0">
                  <c:v>7.0947954274531337</c:v>
                </c:pt>
                <c:pt idx="1">
                  <c:v>6.377428289491009</c:v>
                </c:pt>
                <c:pt idx="2">
                  <c:v>4.0950511702408363</c:v>
                </c:pt>
                <c:pt idx="3">
                  <c:v>10.631954936118499</c:v>
                </c:pt>
                <c:pt idx="4">
                  <c:v>1.6380476044871415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678-4A60-8391-A5FC4E5A4CFA}"/>
            </c:ext>
          </c:extLst>
        </c:ser>
        <c:ser>
          <c:idx val="3"/>
          <c:order val="3"/>
          <c:tx>
            <c:strRef>
              <c:f>Sheet1!$R$32</c:f>
              <c:strCache>
                <c:ptCount val="1"/>
                <c:pt idx="0">
                  <c:v>Current: $21.15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Sheet1!$R$33:$R$37</c:f>
              <c:numCache>
                <c:formatCode>_("$"* #,##0.00_);_("$"* \(#,##0.00\);_("$"* "-"??_);_(@_)</c:formatCode>
                <c:ptCount val="5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678-4A60-8391-A5FC4E5A4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6526704"/>
        <c:axId val="1129334352"/>
      </c:barChart>
      <c:catAx>
        <c:axId val="1216526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29334352"/>
        <c:crosses val="autoZero"/>
        <c:auto val="1"/>
        <c:lblAlgn val="ctr"/>
        <c:lblOffset val="100"/>
        <c:noMultiLvlLbl val="0"/>
      </c:catAx>
      <c:valAx>
        <c:axId val="1129334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1652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476250</xdr:colOff>
      <xdr:row>3</xdr:row>
      <xdr:rowOff>76201</xdr:rowOff>
    </xdr:from>
    <xdr:to>
      <xdr:col>14</xdr:col>
      <xdr:colOff>0</xdr:colOff>
      <xdr:row>24</xdr:row>
      <xdr:rowOff>161926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5C83FF7-BFAE-CF45-D05C-A675660D62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0.82805</cdr:x>
      <cdr:y>0.15062</cdr:y>
    </cdr:from>
    <cdr:to>
      <cdr:x>0.83736</cdr:x>
      <cdr:y>0.82531</cdr:y>
    </cdr:to>
    <cdr:sp macro="" textlink="">
      <cdr:nvSpPr>
        <cdr:cNvPr id="8" name="Rectangle 7">
          <a:extLst xmlns:a="http://schemas.openxmlformats.org/drawingml/2006/main">
            <a:ext uri="{FF2B5EF4-FFF2-40B4-BE49-F238E27FC236}">
              <a16:creationId xmlns:a16="http://schemas.microsoft.com/office/drawing/2014/main" id="{4848B5BE-EDB4-5A05-4562-30D1CB868B22}"/>
            </a:ext>
          </a:extLst>
        </cdr:cNvPr>
        <cdr:cNvSpPr/>
      </cdr:nvSpPr>
      <cdr:spPr>
        <a:xfrm xmlns:a="http://schemas.openxmlformats.org/drawingml/2006/main">
          <a:off x="4957939" y="654185"/>
          <a:ext cx="55757" cy="2930458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 w="0">
          <a:solidFill>
            <a:schemeClr val="bg1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 kern="12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861C7-A687-4CF6-9E7B-412FBF56E37A}">
  <dimension ref="A1:R37"/>
  <sheetViews>
    <sheetView tabSelected="1" zoomScaleNormal="100" workbookViewId="0">
      <selection activeCell="I27" sqref="I27"/>
    </sheetView>
  </sheetViews>
  <sheetFormatPr defaultColWidth="15.85546875" defaultRowHeight="15" x14ac:dyDescent="0.25"/>
  <sheetData>
    <row r="1" spans="1:8" x14ac:dyDescent="0.25">
      <c r="A1" s="6" t="s">
        <v>0</v>
      </c>
      <c r="C1" s="6" t="s">
        <v>1</v>
      </c>
      <c r="D1" s="7">
        <v>46158</v>
      </c>
    </row>
    <row r="2" spans="1:8" x14ac:dyDescent="0.25">
      <c r="A2" s="1" t="s">
        <v>19</v>
      </c>
    </row>
    <row r="4" spans="1:8" s="14" customFormat="1" ht="29.25" x14ac:dyDescent="0.25">
      <c r="A4" s="41" t="s">
        <v>20</v>
      </c>
      <c r="B4" s="42"/>
      <c r="C4" s="43" t="s">
        <v>0</v>
      </c>
      <c r="D4" s="43" t="s">
        <v>24</v>
      </c>
      <c r="E4" s="43" t="s">
        <v>25</v>
      </c>
      <c r="F4" s="43" t="s">
        <v>26</v>
      </c>
      <c r="G4" s="43" t="s">
        <v>37</v>
      </c>
      <c r="H4" s="42" t="s">
        <v>27</v>
      </c>
    </row>
    <row r="5" spans="1:8" s="15" customFormat="1" x14ac:dyDescent="0.25">
      <c r="A5" s="44" t="s">
        <v>28</v>
      </c>
      <c r="B5" s="45"/>
      <c r="C5" s="46" t="s">
        <v>1</v>
      </c>
      <c r="D5" s="46" t="s">
        <v>29</v>
      </c>
      <c r="E5" s="46" t="s">
        <v>30</v>
      </c>
      <c r="F5" s="46" t="s">
        <v>31</v>
      </c>
      <c r="G5" s="46" t="s">
        <v>32</v>
      </c>
      <c r="H5" s="45" t="s">
        <v>33</v>
      </c>
    </row>
    <row r="6" spans="1:8" x14ac:dyDescent="0.25">
      <c r="A6" s="54" t="s">
        <v>22</v>
      </c>
      <c r="B6" s="55"/>
      <c r="C6" s="59">
        <v>2896284</v>
      </c>
      <c r="D6" s="59">
        <v>748291</v>
      </c>
      <c r="E6" s="59">
        <v>713953</v>
      </c>
      <c r="F6" s="59">
        <v>282926</v>
      </c>
      <c r="G6" s="59">
        <v>1944901</v>
      </c>
      <c r="H6" s="60">
        <v>5480717</v>
      </c>
    </row>
    <row r="7" spans="1:8" x14ac:dyDescent="0.25">
      <c r="A7" s="19" t="s">
        <v>38</v>
      </c>
      <c r="B7" s="40"/>
      <c r="C7" s="20">
        <v>619067</v>
      </c>
      <c r="D7" s="20">
        <v>133499</v>
      </c>
      <c r="E7" s="20">
        <v>266619</v>
      </c>
      <c r="F7" s="20">
        <v>103085</v>
      </c>
      <c r="G7" s="20">
        <f>770284+125237</f>
        <v>895521</v>
      </c>
      <c r="H7" s="21">
        <v>665140</v>
      </c>
    </row>
    <row r="8" spans="1:8" x14ac:dyDescent="0.25">
      <c r="A8" s="10" t="s">
        <v>23</v>
      </c>
      <c r="B8" s="11"/>
      <c r="C8" s="5">
        <f>C6-C7</f>
        <v>2277217</v>
      </c>
      <c r="D8" s="5">
        <f>D6-D7</f>
        <v>614792</v>
      </c>
      <c r="E8" s="5">
        <f t="shared" ref="E8:H8" si="0">E6-E7</f>
        <v>447334</v>
      </c>
      <c r="F8" s="5">
        <f t="shared" si="0"/>
        <v>179841</v>
      </c>
      <c r="G8" s="5">
        <f t="shared" si="0"/>
        <v>1049380</v>
      </c>
      <c r="H8" s="3">
        <f t="shared" si="0"/>
        <v>4815577</v>
      </c>
    </row>
    <row r="9" spans="1:8" x14ac:dyDescent="0.25">
      <c r="A9" s="61" t="s">
        <v>3</v>
      </c>
      <c r="B9" s="62"/>
      <c r="C9" s="63">
        <v>1196449</v>
      </c>
      <c r="D9" s="63">
        <v>245621</v>
      </c>
      <c r="E9" s="63">
        <v>232131</v>
      </c>
      <c r="F9" s="63">
        <v>61640</v>
      </c>
      <c r="G9" s="63">
        <v>406696</v>
      </c>
      <c r="H9" s="64">
        <v>4512452</v>
      </c>
    </row>
    <row r="10" spans="1:8" x14ac:dyDescent="0.25">
      <c r="A10" s="65"/>
      <c r="B10" s="66"/>
      <c r="C10" s="5"/>
      <c r="D10" s="22"/>
      <c r="E10" s="22"/>
      <c r="F10" s="22"/>
      <c r="G10" s="22"/>
      <c r="H10" s="2"/>
    </row>
    <row r="11" spans="1:8" x14ac:dyDescent="0.25">
      <c r="A11" s="54" t="s">
        <v>4</v>
      </c>
      <c r="B11" s="55"/>
      <c r="C11" s="59">
        <v>443304</v>
      </c>
      <c r="D11" s="59">
        <v>50650</v>
      </c>
      <c r="E11" s="59">
        <v>144613</v>
      </c>
      <c r="F11" s="59">
        <v>-14462</v>
      </c>
      <c r="G11" s="59">
        <v>149379</v>
      </c>
      <c r="H11" s="60">
        <v>3333751</v>
      </c>
    </row>
    <row r="12" spans="1:8" x14ac:dyDescent="0.25">
      <c r="A12" s="19" t="s">
        <v>2</v>
      </c>
      <c r="B12" s="40"/>
      <c r="C12" s="20">
        <v>115784</v>
      </c>
      <c r="D12" s="20">
        <v>56579</v>
      </c>
      <c r="E12" s="20">
        <v>53674</v>
      </c>
      <c r="F12" s="20">
        <v>43769</v>
      </c>
      <c r="G12" s="20">
        <v>129446</v>
      </c>
      <c r="H12" s="21">
        <v>194778</v>
      </c>
    </row>
    <row r="13" spans="1:8" x14ac:dyDescent="0.25">
      <c r="A13" s="19" t="s">
        <v>5</v>
      </c>
      <c r="B13" s="40"/>
      <c r="C13" s="20">
        <v>490627</v>
      </c>
      <c r="D13" s="20">
        <v>104226</v>
      </c>
      <c r="E13" s="20">
        <v>76648</v>
      </c>
      <c r="F13" s="20">
        <v>38378</v>
      </c>
      <c r="G13" s="20">
        <v>57848</v>
      </c>
      <c r="H13" s="21">
        <v>210421</v>
      </c>
    </row>
    <row r="14" spans="1:8" x14ac:dyDescent="0.25">
      <c r="A14" s="19" t="s">
        <v>11</v>
      </c>
      <c r="B14" s="40"/>
      <c r="C14" s="20">
        <f>197011+12752</f>
        <v>209763</v>
      </c>
      <c r="D14" s="20">
        <v>38529</v>
      </c>
      <c r="E14" s="20">
        <f>70535+13768</f>
        <v>84303</v>
      </c>
      <c r="F14" s="20">
        <f>14345+20511</f>
        <v>34856</v>
      </c>
      <c r="G14" s="20">
        <f>102739</f>
        <v>102739</v>
      </c>
      <c r="H14" s="21">
        <v>28318</v>
      </c>
    </row>
    <row r="15" spans="1:8" x14ac:dyDescent="0.25">
      <c r="A15" s="19" t="s">
        <v>12</v>
      </c>
      <c r="B15" s="40"/>
      <c r="C15" s="20">
        <v>-274129</v>
      </c>
      <c r="D15" s="20">
        <v>-17036</v>
      </c>
      <c r="E15" s="20">
        <f>-103761-6402+142603-4125</f>
        <v>28315</v>
      </c>
      <c r="F15" s="20">
        <f>66574-16220-42397+16179-2616+861</f>
        <v>22381</v>
      </c>
      <c r="G15" s="20">
        <f>245977-265395+13665-7505-87</f>
        <v>-13345</v>
      </c>
      <c r="H15" s="21">
        <f>-542219+134658+232486-15229+268226</f>
        <v>77922</v>
      </c>
    </row>
    <row r="16" spans="1:8" x14ac:dyDescent="0.25">
      <c r="A16" s="12" t="s">
        <v>13</v>
      </c>
      <c r="B16" s="13"/>
      <c r="C16" s="26">
        <f>C11+C12+C13-C14+C15</f>
        <v>565823</v>
      </c>
      <c r="D16" s="26">
        <f t="shared" ref="D16:H16" si="1">D11+D12+D13-D14+D15</f>
        <v>155890</v>
      </c>
      <c r="E16" s="26">
        <f t="shared" si="1"/>
        <v>218947</v>
      </c>
      <c r="F16" s="26">
        <f t="shared" si="1"/>
        <v>55210</v>
      </c>
      <c r="G16" s="26">
        <f t="shared" si="1"/>
        <v>220589</v>
      </c>
      <c r="H16" s="27">
        <f t="shared" si="1"/>
        <v>3788554</v>
      </c>
    </row>
    <row r="17" spans="1:18" x14ac:dyDescent="0.25">
      <c r="A17" s="65"/>
      <c r="B17" s="66"/>
      <c r="C17" s="5"/>
      <c r="D17" s="22"/>
      <c r="E17" s="22"/>
      <c r="F17" s="22"/>
      <c r="G17" s="22"/>
      <c r="H17" s="2"/>
    </row>
    <row r="18" spans="1:18" x14ac:dyDescent="0.25">
      <c r="A18" s="54" t="s">
        <v>6</v>
      </c>
      <c r="B18" s="55"/>
      <c r="C18" s="56">
        <v>21.15</v>
      </c>
      <c r="D18" s="57">
        <v>9.06</v>
      </c>
      <c r="E18" s="57">
        <v>12.82</v>
      </c>
      <c r="F18" s="57">
        <v>9.7200000000000006</v>
      </c>
      <c r="G18" s="57">
        <v>16.059999999999999</v>
      </c>
      <c r="H18" s="58">
        <v>501</v>
      </c>
    </row>
    <row r="19" spans="1:18" x14ac:dyDescent="0.25">
      <c r="A19" s="10" t="s">
        <v>35</v>
      </c>
      <c r="B19" s="11"/>
      <c r="C19" s="23">
        <v>493551</v>
      </c>
      <c r="D19" s="24">
        <v>166683</v>
      </c>
      <c r="E19" s="24">
        <v>153770</v>
      </c>
      <c r="F19" s="24">
        <v>47008</v>
      </c>
      <c r="G19" s="24">
        <f>54792540/1000</f>
        <v>54792.54</v>
      </c>
      <c r="H19" s="25">
        <v>341970</v>
      </c>
    </row>
    <row r="20" spans="1:18" x14ac:dyDescent="0.25">
      <c r="A20" s="10" t="s">
        <v>7</v>
      </c>
      <c r="B20" s="11"/>
      <c r="C20" s="5">
        <f>C18*C19</f>
        <v>10438603.649999999</v>
      </c>
      <c r="D20" s="5">
        <f>D18*D19</f>
        <v>1510147.98</v>
      </c>
      <c r="E20" s="5">
        <f t="shared" ref="E20:H20" si="2">E18*E19</f>
        <v>1971331.4000000001</v>
      </c>
      <c r="F20" s="5">
        <f t="shared" si="2"/>
        <v>456917.76000000001</v>
      </c>
      <c r="G20" s="5">
        <f t="shared" si="2"/>
        <v>879968.19239999994</v>
      </c>
      <c r="H20" s="3">
        <f t="shared" si="2"/>
        <v>171326970</v>
      </c>
    </row>
    <row r="21" spans="1:18" x14ac:dyDescent="0.25">
      <c r="A21" s="19" t="s">
        <v>8</v>
      </c>
      <c r="B21" s="40"/>
      <c r="C21" s="20">
        <v>0</v>
      </c>
      <c r="D21" s="20">
        <v>0</v>
      </c>
      <c r="E21" s="20">
        <f>556112</f>
        <v>556112</v>
      </c>
      <c r="F21" s="20">
        <v>0</v>
      </c>
      <c r="G21" s="20">
        <v>11360</v>
      </c>
      <c r="H21" s="21">
        <v>3512987</v>
      </c>
    </row>
    <row r="22" spans="1:18" x14ac:dyDescent="0.25">
      <c r="A22" s="19" t="s">
        <v>9</v>
      </c>
      <c r="B22" s="40"/>
      <c r="C22" s="20">
        <f>658175+644882</f>
        <v>1303057</v>
      </c>
      <c r="D22" s="20">
        <v>259038</v>
      </c>
      <c r="E22" s="20">
        <v>553362</v>
      </c>
      <c r="F22" s="20">
        <v>145518</v>
      </c>
      <c r="G22" s="20">
        <f>342038+23242</f>
        <v>365280</v>
      </c>
      <c r="H22" s="21">
        <v>2487096</v>
      </c>
    </row>
    <row r="23" spans="1:18" x14ac:dyDescent="0.25">
      <c r="A23" s="12" t="s">
        <v>10</v>
      </c>
      <c r="B23" s="13"/>
      <c r="C23" s="26">
        <f>C20+C21-C22</f>
        <v>9135546.6499999985</v>
      </c>
      <c r="D23" s="26">
        <f>D20+D21-D22</f>
        <v>1251109.98</v>
      </c>
      <c r="E23" s="26">
        <f t="shared" ref="E23:H23" si="3">E20+E21-E22</f>
        <v>1974081.4000000004</v>
      </c>
      <c r="F23" s="26">
        <f>F20+F21-F22</f>
        <v>311399.76</v>
      </c>
      <c r="G23" s="26">
        <f t="shared" si="3"/>
        <v>526048.19239999994</v>
      </c>
      <c r="H23" s="27">
        <f t="shared" si="3"/>
        <v>172352861</v>
      </c>
    </row>
    <row r="24" spans="1:18" x14ac:dyDescent="0.25">
      <c r="A24" s="65"/>
      <c r="B24" s="66"/>
      <c r="C24" s="5"/>
      <c r="D24" s="22"/>
      <c r="E24" s="22"/>
      <c r="F24" s="22"/>
      <c r="G24" s="22"/>
      <c r="H24" s="2"/>
    </row>
    <row r="25" spans="1:18" s="14" customFormat="1" x14ac:dyDescent="0.25">
      <c r="A25" s="41" t="s">
        <v>18</v>
      </c>
      <c r="B25" s="42"/>
      <c r="C25" s="68" t="str">
        <f>C4</f>
        <v>The Trade Desk</v>
      </c>
      <c r="D25" s="67" t="str">
        <f>D4</f>
        <v>DoubleVerify</v>
      </c>
      <c r="E25" s="67" t="str">
        <f t="shared" ref="E25:G25" si="4">E4</f>
        <v>Magnite</v>
      </c>
      <c r="F25" s="67" t="str">
        <f t="shared" si="4"/>
        <v>PubMatic</v>
      </c>
      <c r="G25" s="67" t="str">
        <f t="shared" si="4"/>
        <v>Criteo S.A.</v>
      </c>
      <c r="H25" s="51" t="str">
        <f>H4</f>
        <v>AppLovin</v>
      </c>
    </row>
    <row r="26" spans="1:18" x14ac:dyDescent="0.25">
      <c r="A26" s="8" t="s">
        <v>14</v>
      </c>
      <c r="B26" s="9"/>
      <c r="C26" s="52">
        <f>C23/C6</f>
        <v>3.1542302654021492</v>
      </c>
      <c r="D26" s="52">
        <f>D23/D6</f>
        <v>1.6719564714796784</v>
      </c>
      <c r="E26" s="52">
        <f>E23/E6</f>
        <v>2.7650018978840349</v>
      </c>
      <c r="F26" s="52">
        <f>F23/F6</f>
        <v>1.1006403087733188</v>
      </c>
      <c r="G26" s="52">
        <f>G23/G6</f>
        <v>0.27047556271501733</v>
      </c>
      <c r="H26" s="53">
        <f>H23/H6</f>
        <v>31.447137482194393</v>
      </c>
    </row>
    <row r="27" spans="1:18" x14ac:dyDescent="0.25">
      <c r="A27" s="10" t="s">
        <v>15</v>
      </c>
      <c r="B27" s="11"/>
      <c r="C27" s="28">
        <f>C23/C8</f>
        <v>4.0117154623384588</v>
      </c>
      <c r="D27" s="28">
        <f>D23/D8</f>
        <v>2.0350134354383269</v>
      </c>
      <c r="E27" s="28">
        <f>E23/E8</f>
        <v>4.4129920819790147</v>
      </c>
      <c r="F27" s="28">
        <f>F23/F8</f>
        <v>1.7315281832285185</v>
      </c>
      <c r="G27" s="28">
        <f>G23/G8</f>
        <v>0.50129428081343264</v>
      </c>
      <c r="H27" s="38">
        <f>H23/H8</f>
        <v>35.790697771004389</v>
      </c>
      <c r="J27" s="14" t="s">
        <v>21</v>
      </c>
    </row>
    <row r="28" spans="1:18" x14ac:dyDescent="0.25">
      <c r="A28" s="10" t="s">
        <v>34</v>
      </c>
      <c r="B28" s="11"/>
      <c r="C28" s="28">
        <f>C23/C9</f>
        <v>7.6355504079154217</v>
      </c>
      <c r="D28" s="28">
        <f>D23/D9</f>
        <v>5.0936604769136187</v>
      </c>
      <c r="E28" s="28">
        <f>E23/E9</f>
        <v>8.5041696283564043</v>
      </c>
      <c r="F28" s="28">
        <f>F23/F9</f>
        <v>5.0519104477611938</v>
      </c>
      <c r="G28" s="28">
        <f>G23/G9</f>
        <v>1.2934678295336073</v>
      </c>
      <c r="H28" s="38">
        <f>H23/H9</f>
        <v>38.194946117986404</v>
      </c>
      <c r="J28" s="16" t="s">
        <v>36</v>
      </c>
    </row>
    <row r="29" spans="1:18" x14ac:dyDescent="0.25">
      <c r="A29" s="10" t="s">
        <v>16</v>
      </c>
      <c r="B29" s="11"/>
      <c r="C29" s="28">
        <f>C20/C16</f>
        <v>18.448531873041567</v>
      </c>
      <c r="D29" s="28">
        <f>D20/D16</f>
        <v>9.6872665340945545</v>
      </c>
      <c r="E29" s="28">
        <f t="shared" ref="E29:H29" si="5">E20/E16</f>
        <v>9.003692217751329</v>
      </c>
      <c r="F29" s="28">
        <f t="shared" si="5"/>
        <v>8.27599637746785</v>
      </c>
      <c r="G29" s="28">
        <f t="shared" si="5"/>
        <v>3.989175309738926</v>
      </c>
      <c r="H29" s="38">
        <f t="shared" si="5"/>
        <v>45.22225894101021</v>
      </c>
      <c r="J29" t="s">
        <v>54</v>
      </c>
    </row>
    <row r="30" spans="1:18" x14ac:dyDescent="0.25">
      <c r="A30" s="12" t="s">
        <v>17</v>
      </c>
      <c r="B30" s="13"/>
      <c r="C30" s="30">
        <f>C20/C11</f>
        <v>23.547280534351142</v>
      </c>
      <c r="D30" s="30">
        <f>D20/D11</f>
        <v>29.815359921026655</v>
      </c>
      <c r="E30" s="30">
        <f>E20/E11</f>
        <v>13.631771694107723</v>
      </c>
      <c r="F30" s="31" t="s">
        <v>51</v>
      </c>
      <c r="G30" s="30">
        <f>G20/G11</f>
        <v>5.8908427047978629</v>
      </c>
      <c r="H30" s="39">
        <f>H20/H11</f>
        <v>51.391651626051257</v>
      </c>
    </row>
    <row r="32" spans="1:18" ht="29.25" x14ac:dyDescent="0.25">
      <c r="A32" s="47" t="s">
        <v>49</v>
      </c>
      <c r="B32" s="48"/>
      <c r="C32" s="49" t="s">
        <v>39</v>
      </c>
      <c r="D32" s="49" t="s">
        <v>40</v>
      </c>
      <c r="E32" s="49" t="s">
        <v>41</v>
      </c>
      <c r="F32" s="49" t="s">
        <v>42</v>
      </c>
      <c r="G32" s="49" t="s">
        <v>43</v>
      </c>
      <c r="H32" s="49" t="s">
        <v>44</v>
      </c>
      <c r="I32" s="49" t="s">
        <v>45</v>
      </c>
      <c r="J32" s="49" t="s">
        <v>46</v>
      </c>
      <c r="K32" s="49" t="s">
        <v>47</v>
      </c>
      <c r="L32" s="49" t="s">
        <v>48</v>
      </c>
      <c r="M32" s="48" t="s">
        <v>50</v>
      </c>
      <c r="Q32" s="17" t="s">
        <v>52</v>
      </c>
      <c r="R32" s="17" t="s">
        <v>53</v>
      </c>
    </row>
    <row r="33" spans="1:18" x14ac:dyDescent="0.25">
      <c r="A33" s="10" t="s">
        <v>14</v>
      </c>
      <c r="B33" s="50"/>
      <c r="C33" s="29">
        <f>AVERAGE(D26:G26)</f>
        <v>1.4520185602130122</v>
      </c>
      <c r="D33" s="29">
        <f>MEDIAN(D26:G26)</f>
        <v>1.3862983901264987</v>
      </c>
      <c r="E33" s="29">
        <f>PERCENTILE(D26:G26,0.25)</f>
        <v>0.89309912225874344</v>
      </c>
      <c r="F33" s="29">
        <f>PERCENTILE(D26:G26,0.75)</f>
        <v>1.9452178280807675</v>
      </c>
      <c r="G33" s="33">
        <f>E33*$C6-$C21+$C22</f>
        <v>3889725.6982120425</v>
      </c>
      <c r="H33" s="33">
        <f>D33*$C6-$C21+$C22</f>
        <v>5318170.8465491366</v>
      </c>
      <c r="I33" s="33">
        <f>F33*$C6-$C21+$C22</f>
        <v>6936960.2719850773</v>
      </c>
      <c r="J33" s="34">
        <f>G33/$C$19</f>
        <v>7.8811018480603678</v>
      </c>
      <c r="K33" s="34">
        <f>H33/$C$19</f>
        <v>10.775321793592022</v>
      </c>
      <c r="L33" s="34">
        <f>I33/$C$19</f>
        <v>14.055204572546865</v>
      </c>
      <c r="M33" s="35">
        <f>L33-J33</f>
        <v>6.174102724486497</v>
      </c>
      <c r="Q33" s="18">
        <f>$C$18-M33-J33</f>
        <v>7.0947954274531337</v>
      </c>
      <c r="R33" s="18">
        <v>0.1</v>
      </c>
    </row>
    <row r="34" spans="1:18" x14ac:dyDescent="0.25">
      <c r="A34" s="10" t="s">
        <v>15</v>
      </c>
      <c r="B34" s="11"/>
      <c r="C34" s="29">
        <f>AVERAGE(D27:G27)</f>
        <v>2.1702069953648229</v>
      </c>
      <c r="D34" s="29">
        <f>MEDIAN(D27:G27)</f>
        <v>1.8832708093334227</v>
      </c>
      <c r="E34" s="29">
        <f>PERCENTILE(D27:G27,0.25)</f>
        <v>1.4239697076247471</v>
      </c>
      <c r="F34" s="29">
        <f>PERCENTILE(D27:G27,0.75)</f>
        <v>2.629508097073499</v>
      </c>
      <c r="G34" s="33">
        <f>E34*$C8-$C21+$C22</f>
        <v>4545745.0256881034</v>
      </c>
      <c r="H34" s="33">
        <f>D34*$C8-$C21+$C22</f>
        <v>5591673.3026178293</v>
      </c>
      <c r="I34" s="33">
        <f>F34*$C8-$C21+$C22</f>
        <v>7291017.5402934225</v>
      </c>
      <c r="J34" s="34">
        <f t="shared" ref="J34:J37" si="6">G34/$C$19</f>
        <v>9.2102842982551003</v>
      </c>
      <c r="K34" s="34">
        <f>H34/$C$19</f>
        <v>11.329474162989902</v>
      </c>
      <c r="L34" s="34">
        <f>I34/$C$19</f>
        <v>14.77257171050899</v>
      </c>
      <c r="M34" s="35">
        <f t="shared" ref="M34:M37" si="7">L34-J34</f>
        <v>5.5622874122538892</v>
      </c>
      <c r="Q34" s="18">
        <f t="shared" ref="Q34:Q37" si="8">$C$18-M34-J34</f>
        <v>6.377428289491009</v>
      </c>
      <c r="R34" s="18">
        <v>0.1</v>
      </c>
    </row>
    <row r="35" spans="1:18" x14ac:dyDescent="0.25">
      <c r="A35" s="10" t="s">
        <v>34</v>
      </c>
      <c r="B35" s="11"/>
      <c r="C35" s="29">
        <f>AVERAGE(D28:G28)</f>
        <v>4.9858020956412066</v>
      </c>
      <c r="D35" s="29">
        <f>MEDIAN(D28:G28)</f>
        <v>5.0727854623374062</v>
      </c>
      <c r="E35" s="29">
        <f>PERCENTILE(D28:G28,0.25)</f>
        <v>4.1122997932042971</v>
      </c>
      <c r="F35" s="29">
        <f>PERCENTILE(D28:G28,0.75)</f>
        <v>5.9462877647743149</v>
      </c>
      <c r="G35" s="33">
        <f>E35*$C9-$C21+$C22</f>
        <v>6223213.9752794877</v>
      </c>
      <c r="H35" s="33">
        <f>D35*$C9-$C21+$C22</f>
        <v>7372386.0936281271</v>
      </c>
      <c r="I35" s="33">
        <f>F35*$C9-$C21+$C22</f>
        <v>8417487.0498764645</v>
      </c>
      <c r="J35" s="34">
        <f t="shared" si="6"/>
        <v>12.609059601296497</v>
      </c>
      <c r="K35" s="34">
        <f>H35/$C$19</f>
        <v>14.937435226811671</v>
      </c>
      <c r="L35" s="34">
        <f>I35/$C$19</f>
        <v>17.054948829759162</v>
      </c>
      <c r="M35" s="35">
        <f t="shared" si="7"/>
        <v>4.445889228462665</v>
      </c>
      <c r="Q35" s="18">
        <f t="shared" si="8"/>
        <v>4.0950511702408363</v>
      </c>
      <c r="R35" s="18">
        <v>0.1</v>
      </c>
    </row>
    <row r="36" spans="1:18" x14ac:dyDescent="0.25">
      <c r="A36" s="10" t="s">
        <v>16</v>
      </c>
      <c r="B36" s="11"/>
      <c r="C36" s="29">
        <f>AVERAGE(D29:G29)</f>
        <v>7.7390326097631643</v>
      </c>
      <c r="D36" s="29">
        <f>MEDIAN(D29:G29)</f>
        <v>8.6398442976095886</v>
      </c>
      <c r="E36" s="29">
        <f>PERCENTILE(D29:G29,0.25)</f>
        <v>7.2042911105356193</v>
      </c>
      <c r="F36" s="29">
        <f>PERCENTILE(D29:G29,0.75)</f>
        <v>9.1745857968371354</v>
      </c>
      <c r="G36" s="33">
        <f>E36*$C16</f>
        <v>4076353.6090365956</v>
      </c>
      <c r="H36" s="33">
        <f>D36*$C16</f>
        <v>4888622.6200063499</v>
      </c>
      <c r="I36" s="33">
        <f>F36*$C16</f>
        <v>5191191.659323778</v>
      </c>
      <c r="J36" s="34">
        <f t="shared" si="6"/>
        <v>8.2592348288962949</v>
      </c>
      <c r="K36" s="34">
        <f>H36/$C$19</f>
        <v>9.9049999290982083</v>
      </c>
      <c r="L36" s="34">
        <f>I36/$C$19</f>
        <v>10.5180450638815</v>
      </c>
      <c r="M36" s="35">
        <f t="shared" si="7"/>
        <v>2.2588102349852051</v>
      </c>
      <c r="Q36" s="18">
        <f t="shared" si="8"/>
        <v>10.631954936118499</v>
      </c>
      <c r="R36" s="18">
        <v>0.1</v>
      </c>
    </row>
    <row r="37" spans="1:18" x14ac:dyDescent="0.25">
      <c r="A37" s="12" t="s">
        <v>17</v>
      </c>
      <c r="B37" s="13"/>
      <c r="C37" s="32">
        <f>AVERAGE(D30,E30,G30)</f>
        <v>16.445991439977416</v>
      </c>
      <c r="D37" s="32">
        <f>MEDIAN(D30,E30,G30)</f>
        <v>13.631771694107723</v>
      </c>
      <c r="E37" s="32">
        <f>PERCENTILE((D30,E30,G30),0.25)</f>
        <v>9.7613071994527925</v>
      </c>
      <c r="F37" s="32">
        <f>PERCENTILE((D30,E30,G30),0.75)</f>
        <v>21.723565807567191</v>
      </c>
      <c r="G37" s="36">
        <f>E37*$C11</f>
        <v>4327226.5267462209</v>
      </c>
      <c r="H37" s="36">
        <f>D37*$C11</f>
        <v>6043018.9190847296</v>
      </c>
      <c r="I37" s="36">
        <f>F37*$C11</f>
        <v>9630143.6167577654</v>
      </c>
      <c r="J37" s="4">
        <f t="shared" si="6"/>
        <v>8.7675367423958637</v>
      </c>
      <c r="K37" s="4">
        <f>H37/$C$19</f>
        <v>12.243960439923594</v>
      </c>
      <c r="L37" s="4">
        <f>I37/$C$19</f>
        <v>19.511952395512857</v>
      </c>
      <c r="M37" s="37">
        <f t="shared" si="7"/>
        <v>10.744415653116993</v>
      </c>
      <c r="Q37" s="18">
        <f t="shared" si="8"/>
        <v>1.6380476044871415</v>
      </c>
      <c r="R37" s="18">
        <v>0.1</v>
      </c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Troy Shen</dc:creator>
  <cp:lastModifiedBy>Troy Shen</cp:lastModifiedBy>
  <dcterms:created xsi:type="dcterms:W3CDTF">2026-05-16T22:43:39Z</dcterms:created>
  <dcterms:modified xsi:type="dcterms:W3CDTF">2026-05-18T02:37:35Z</dcterms:modified>
</cp:coreProperties>
</file>